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4540" tabRatio="500" activeTab="1"/>
  </bookViews>
  <sheets>
    <sheet name="I. Engineered system" sheetId="1" r:id="rId1"/>
    <sheet name="II. Urban landscape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3" l="1"/>
  <c r="B63" i="3"/>
  <c r="B62" i="3"/>
  <c r="B61" i="3"/>
  <c r="B60" i="3"/>
  <c r="B41" i="3"/>
  <c r="B55" i="3"/>
  <c r="B56" i="3"/>
  <c r="B54" i="3"/>
  <c r="B51" i="3"/>
  <c r="B11" i="3"/>
  <c r="B48" i="3"/>
  <c r="B13" i="1"/>
  <c r="B14" i="1"/>
  <c r="B27" i="1"/>
  <c r="B30" i="1"/>
  <c r="B35" i="1"/>
  <c r="B41" i="1"/>
  <c r="B80" i="1"/>
  <c r="B83" i="1"/>
  <c r="B81" i="1"/>
  <c r="B82" i="1"/>
  <c r="B71" i="1"/>
  <c r="B24" i="3"/>
  <c r="B25" i="3"/>
  <c r="B17" i="1"/>
  <c r="B19" i="1"/>
  <c r="B20" i="1"/>
  <c r="B18" i="1"/>
  <c r="B9" i="3"/>
  <c r="B26" i="3"/>
  <c r="B21" i="3"/>
  <c r="B28" i="3"/>
  <c r="B30" i="3"/>
  <c r="B16" i="3"/>
  <c r="B34" i="3"/>
  <c r="B37" i="3"/>
  <c r="B39" i="3"/>
  <c r="B59" i="3"/>
  <c r="B73" i="1"/>
  <c r="B74" i="1"/>
  <c r="B68" i="1"/>
  <c r="B13" i="3"/>
  <c r="B95" i="1"/>
  <c r="B16" i="1"/>
  <c r="B24" i="1"/>
  <c r="B25" i="1"/>
  <c r="B29" i="1"/>
  <c r="B55" i="1"/>
  <c r="B64" i="1"/>
  <c r="B65" i="1"/>
  <c r="B37" i="1"/>
  <c r="B39" i="1"/>
  <c r="B77" i="1"/>
  <c r="B40" i="1"/>
  <c r="B86" i="1"/>
  <c r="B87" i="1"/>
  <c r="B88" i="1"/>
  <c r="B91" i="1"/>
  <c r="B92" i="1"/>
  <c r="B96" i="1"/>
  <c r="B97" i="1"/>
  <c r="B31" i="1"/>
  <c r="B42" i="1"/>
</calcChain>
</file>

<file path=xl/sharedStrings.xml><?xml version="1.0" encoding="utf-8"?>
<sst xmlns="http://schemas.openxmlformats.org/spreadsheetml/2006/main" count="233" uniqueCount="216">
  <si>
    <t>P Balance Spreadsheet Calculator - Urban System Component</t>
  </si>
  <si>
    <t>Calculated as the sum of food waste utilized, food waste landfilled, food to garbage grinder</t>
  </si>
  <si>
    <t>Reference</t>
  </si>
  <si>
    <t>Fissore et al., 2011</t>
  </si>
  <si>
    <t>Nidgorski et al., in prep.</t>
  </si>
  <si>
    <t>Nidgorski et al, in prep.</t>
  </si>
  <si>
    <t>Nidgorksi, et al., in prep.</t>
  </si>
  <si>
    <t>I. Engineered Systems</t>
  </si>
  <si>
    <t>1. P inputs</t>
  </si>
  <si>
    <t>2. P outputs</t>
  </si>
  <si>
    <t>Excretion equals consumed food.</t>
  </si>
  <si>
    <t xml:space="preserve">  Sewage output without grinder</t>
  </si>
  <si>
    <t xml:space="preserve"> Percentage with grinders</t>
  </si>
  <si>
    <t>Fissore et al., 2011.</t>
  </si>
  <si>
    <t>Weighted averages</t>
  </si>
  <si>
    <t>Population on septic</t>
  </si>
  <si>
    <t xml:space="preserve">  Percentage of P to sludge</t>
  </si>
  <si>
    <t>P flux to sludge, kg P/yr</t>
  </si>
  <si>
    <t>P flux to leach fields, kg P/yr</t>
  </si>
  <si>
    <t xml:space="preserve">  Sewage flux, kg/year</t>
  </si>
  <si>
    <t>Percentage with garbage grinders</t>
  </si>
  <si>
    <t>Calculated</t>
  </si>
  <si>
    <t>Weighted average</t>
  </si>
  <si>
    <t>Data from septic system study</t>
  </si>
  <si>
    <t>Lowe et al., 2004</t>
  </si>
  <si>
    <t>Default is TCHEP value</t>
  </si>
  <si>
    <t xml:space="preserve">    None </t>
  </si>
  <si>
    <t xml:space="preserve">   Sewage lagoon</t>
  </si>
  <si>
    <t xml:space="preserve">   Secondary (e.g., activated sludge)</t>
  </si>
  <si>
    <t xml:space="preserve">   Advanced ( P removal)</t>
  </si>
  <si>
    <t>P removal in wastewater</t>
  </si>
  <si>
    <t xml:space="preserve">  (b) Based on level of treatment</t>
  </si>
  <si>
    <t>0%.  This would apply if sewage was piped outside watershed for treatment</t>
  </si>
  <si>
    <t>50% P removal</t>
  </si>
  <si>
    <t>95% P removal</t>
  </si>
  <si>
    <t>Metcalf and Eddy, 1991</t>
  </si>
  <si>
    <t>"        "</t>
  </si>
  <si>
    <t>Met Council plants</t>
  </si>
  <si>
    <t>P removal, kg/yr</t>
  </si>
  <si>
    <t>This becomes biosolids</t>
  </si>
  <si>
    <t>Effluent P, kg/yr</t>
  </si>
  <si>
    <t>If calculated from monthly wastewater data, this value will be used</t>
  </si>
  <si>
    <t>If you are not calculating wastewater P removal (line 45), indicate the level of treatment by a capital "X" in the appropriate box (b47,b48,49)</t>
  </si>
  <si>
    <t xml:space="preserve">   Are septic biosolids added to sewage?</t>
  </si>
  <si>
    <t>Should be "yes" or "no"</t>
  </si>
  <si>
    <t>Calculated to include septic sludge</t>
  </si>
  <si>
    <t xml:space="preserve">  Sewage effluent to stream</t>
  </si>
  <si>
    <t xml:space="preserve">  Exported biosolids, kg P/yr</t>
  </si>
  <si>
    <t>Answer yes or no</t>
  </si>
  <si>
    <t>P flux to solid waste, kg P/y</t>
  </si>
  <si>
    <t>A. Households on sewer</t>
  </si>
  <si>
    <t>Total input, kg P/yr</t>
  </si>
  <si>
    <t>% septic sludge exported</t>
  </si>
  <si>
    <t>User defined; need watershed information</t>
  </si>
  <si>
    <t xml:space="preserve">1. Stream export </t>
  </si>
  <si>
    <t>2. Deliberate exports</t>
  </si>
  <si>
    <t>This would occur either directly - food sent to landfills outside the watershed, or indirectly, as ash from incinerated food waste</t>
  </si>
  <si>
    <t xml:space="preserve">   Landfills, kg P/yr</t>
  </si>
  <si>
    <t>no</t>
  </si>
  <si>
    <t>D. Summary: Fate of P fluxes from engineered household system</t>
  </si>
  <si>
    <t>Consumed food, kg P/capita/yr</t>
  </si>
  <si>
    <t>Wasted food, kg P/capita/yr</t>
  </si>
  <si>
    <t>Household chemicals, kg P/capita/yr</t>
  </si>
  <si>
    <t>Population on sewer</t>
  </si>
  <si>
    <t xml:space="preserve">  Human excretion, kg P/capita/yr</t>
  </si>
  <si>
    <t xml:space="preserve">      Solid waste, no in-sink grinder, kg/capita/yr</t>
  </si>
  <si>
    <t xml:space="preserve">     Solid waste, with grinder, kg P/capita/yr</t>
  </si>
  <si>
    <t xml:space="preserve">  Sewage output with grinder, kg/capita/yr</t>
  </si>
  <si>
    <t>Sewage, kg P/yr</t>
  </si>
  <si>
    <t>Solid waste, kg P/yr</t>
  </si>
  <si>
    <t>Aggregated P inputs, kg P/yr</t>
  </si>
  <si>
    <t>Default value from TCHEP</t>
  </si>
  <si>
    <t>User defined; need watershed-specific information</t>
  </si>
  <si>
    <t>Total deliberate export, kg P/yr</t>
  </si>
  <si>
    <t>Check: inputs  = fate?</t>
  </si>
  <si>
    <t xml:space="preserve">  Inputs</t>
  </si>
  <si>
    <t xml:space="preserve">  Stream export+deliberate exports+accumulation+transfers</t>
  </si>
  <si>
    <t>Check: input - output = 0</t>
  </si>
  <si>
    <t>Answer should be 0</t>
  </si>
  <si>
    <t>Input - output = 0?</t>
  </si>
  <si>
    <t>Should be 0</t>
  </si>
  <si>
    <t xml:space="preserve">  Septic leacheate, kg P/yr</t>
  </si>
  <si>
    <t xml:space="preserve"> Total accumulation, kg P/yr</t>
  </si>
  <si>
    <t>Calculated; transfer to wastewater or ag land. Linked to b46</t>
  </si>
  <si>
    <t xml:space="preserve"> This should be 0</t>
  </si>
  <si>
    <t>Comments</t>
  </si>
  <si>
    <t>Source</t>
  </si>
  <si>
    <t>Barr, 2007</t>
  </si>
  <si>
    <t>Population in single-family homes</t>
  </si>
  <si>
    <t>Flux, kg/yr</t>
  </si>
  <si>
    <t>Albert Lea Public Works</t>
  </si>
  <si>
    <t xml:space="preserve">  WTP biosolids to agriculture</t>
  </si>
  <si>
    <t>Septic sludge to agriculture</t>
  </si>
  <si>
    <t xml:space="preserve">  (a) Calculated</t>
  </si>
  <si>
    <t>III. Urban landscapes</t>
  </si>
  <si>
    <t>Total urban area, acres</t>
  </si>
  <si>
    <t xml:space="preserve"> "                        ", ha</t>
  </si>
  <si>
    <t>Total dog P excretion, kg/yr</t>
  </si>
  <si>
    <t>Estimate irrigation volume, MG/yr</t>
  </si>
  <si>
    <t>Total P of municipal water, mg P/L</t>
  </si>
  <si>
    <t>Population in households</t>
  </si>
  <si>
    <t>Average size of household (all types)</t>
  </si>
  <si>
    <t>Number of households (all types)</t>
  </si>
  <si>
    <t>U.S. Census 2010</t>
  </si>
  <si>
    <t>Albert Lea Water plant</t>
  </si>
  <si>
    <t>Calculated from summer-winter water prodduction</t>
  </si>
  <si>
    <t>Total P entering urban landscape, kg P/yr</t>
  </si>
  <si>
    <t>Annual stormwater P export, kg/yr</t>
  </si>
  <si>
    <t>Stormwater yield, kg/ha-yr</t>
  </si>
  <si>
    <t>P removal in wastewater treatment  (a) or (b)</t>
  </si>
  <si>
    <t>Choose either option (a) enter your own calculation; or (b) pick a type of treatment plant</t>
  </si>
  <si>
    <t>% wastewater treatemt biosolids exported from watershed?</t>
  </si>
  <si>
    <t>4. Transfers within watershed (e.g,  to ag fields)</t>
  </si>
  <si>
    <t>Data from U.S. Census "American Factfinder"</t>
  </si>
  <si>
    <t>Green cells require user input</t>
  </si>
  <si>
    <t>Last line should be "0"</t>
  </si>
  <si>
    <t>Name of system:</t>
  </si>
  <si>
    <t>City of Albert Lea</t>
  </si>
  <si>
    <t>D. Sewage disposal - wastewater treatment</t>
  </si>
  <si>
    <t>C.  Industrial system</t>
  </si>
  <si>
    <t>P inputs from raw products</t>
  </si>
  <si>
    <t>P inputs from chemicals (cleansers, etc.)</t>
  </si>
  <si>
    <t>P outputs in products</t>
  </si>
  <si>
    <t>P to sewage</t>
  </si>
  <si>
    <t>P to solid waste</t>
  </si>
  <si>
    <t>yes</t>
  </si>
  <si>
    <t xml:space="preserve"> Total influent P load, kg/yr</t>
  </si>
  <si>
    <t>Janke et al., 2014</t>
  </si>
  <si>
    <t>Number entered here will replace the default value</t>
  </si>
  <si>
    <t>"   ", if determined locally, kg/ha-yr</t>
  </si>
  <si>
    <t>Use default?  Enter "yes" or "no"</t>
  </si>
  <si>
    <t>You must enter "yes" or "no"</t>
  </si>
  <si>
    <t>Dog food P, kg/household</t>
  </si>
  <si>
    <t>Feces removed, %</t>
  </si>
  <si>
    <t>Dog excretion to lawn, kg/household/yr</t>
  </si>
  <si>
    <t>Swann et al., 1999</t>
  </si>
  <si>
    <t>See appendix  A in Fissore et al. 2011</t>
  </si>
  <si>
    <t>Data for rows 4-6 are from the U.S. Census' American Factfinder</t>
  </si>
  <si>
    <t>Data</t>
  </si>
  <si>
    <t>A. Demographic and land use data</t>
  </si>
  <si>
    <t>B. P outputs</t>
  </si>
  <si>
    <t>B. P inputs to urban landscapes</t>
  </si>
  <si>
    <t>Total P from irrigation, kg/yr</t>
  </si>
  <si>
    <t>Lawn fertilization, lb P2O5/1000 sq. feet</t>
  </si>
  <si>
    <t>Assumed value, due to restriction from Minnesota's lawn P fertilizer law.</t>
  </si>
  <si>
    <t>Lawn fertilization, user-defined</t>
  </si>
  <si>
    <t>Total P added to residential lawns, kg/yr</t>
  </si>
  <si>
    <t>If a value is entered here, this value will be used in the calculation on line 32.</t>
  </si>
  <si>
    <t>Area of parks and public green spaces, ac</t>
  </si>
  <si>
    <t xml:space="preserve"> "                                 ", kg P/ha</t>
  </si>
  <si>
    <t>Number of single-family households</t>
  </si>
  <si>
    <t>Average lawn area/single family house, ha</t>
  </si>
  <si>
    <t>Calculated from the TCHEP survey.  This is lawn area per household, e.g., pervious area</t>
  </si>
  <si>
    <t>Fertilization of parks and golf courses, lb P2O5/1000 sq. ft</t>
  </si>
  <si>
    <t>Golf course can use P fertilizer, so a user may inquire about P fertilzation of local golf courses.  0 is assumed here.</t>
  </si>
  <si>
    <t>Area, acres</t>
  </si>
  <si>
    <t>P applied to golf courses, kg/yr</t>
  </si>
  <si>
    <t>Landscape vegetation waste, kg P/household-yr</t>
  </si>
  <si>
    <t>Fissore et al., 2010</t>
  </si>
  <si>
    <t>Landscape wastes, kg P/yr</t>
  </si>
  <si>
    <t xml:space="preserve">This is sum of exported lawn clipplings, tree leaves, etc. removed from the household lawn, on average.  </t>
  </si>
  <si>
    <t xml:space="preserve">Determined in TCHEP.This is sum of exported lawn clipplings, tree leaves, etc. removed from the household lawn, on average.  </t>
  </si>
  <si>
    <t>Reycling of landscape compost?</t>
  </si>
  <si>
    <t>Municipal compost exported, kg P/yr</t>
  </si>
  <si>
    <t>Most yard waste is composted and returned to urban landscapes.  Some might be exported to agricultural fields.  Answer "yes" or "no" based on local inquiry</t>
  </si>
  <si>
    <t>Select values from Table 5 of the cited reference</t>
  </si>
  <si>
    <t>"                                                                                   "</t>
  </si>
  <si>
    <t>B. Households on septic</t>
  </si>
  <si>
    <t>Dog excretion removed, kg/household/yr</t>
  </si>
  <si>
    <t>This value is added to the engineered system page.</t>
  </si>
  <si>
    <t>Pet food, kg P/capita/yr</t>
  </si>
  <si>
    <t xml:space="preserve">  Pet waste to solid waste, kg P/capita-yr</t>
  </si>
  <si>
    <t xml:space="preserve">  Residential food + pet waste:</t>
  </si>
  <si>
    <t>Summary:</t>
  </si>
  <si>
    <t>P input to landscapes, kg P/yr</t>
  </si>
  <si>
    <t>Total P exported from urban landscape, kg/Yr</t>
  </si>
  <si>
    <t>Fissore et al., 2010.  Pet food is an input to the inside of the household, but excretion is transferred to the landscape sheet.</t>
  </si>
  <si>
    <t>Wet deposition, kg P/ha-yr</t>
  </si>
  <si>
    <t>Dry deposition, kg P/ha-yr</t>
  </si>
  <si>
    <t>Total atmospheric deposition,kg/yr</t>
  </si>
  <si>
    <t>1. Total P inputs</t>
  </si>
  <si>
    <t xml:space="preserve">  Primary industrial products, kg P/yr</t>
  </si>
  <si>
    <t>P output as by-products</t>
  </si>
  <si>
    <t>Data for cells B10 and B12 would come from local comprhensive planning reports or GIS files</t>
  </si>
  <si>
    <t>The default value is 0.3 - see reference to right</t>
  </si>
  <si>
    <t>The default value is 60% - see reference</t>
  </si>
  <si>
    <t>Calculated from total food P, with 25% of P in urine and 75% in feces; feces only are removed</t>
  </si>
  <si>
    <t>Default value of 0.5 is the average of warm weather yields for 6 stormwater drainages in the Capital Region Watershed District, St. Paul</t>
  </si>
  <si>
    <t>Data obtained from local municipal water supplier or, in Minnesota, from the MN Department of Health.</t>
  </si>
  <si>
    <t>Obtain from Water Treatment Plant.  This is not necessarily equal to the city's population, because there may be some septic systems within the municipal boundary.</t>
  </si>
  <si>
    <t>Values in pink cells are default values.</t>
  </si>
  <si>
    <t>Default is 0.6, based on analysis of the Twin Cities diet; Fissore et al., 2011</t>
  </si>
  <si>
    <t>Lines 20-26 allocate food waste to sewage or solid waste, depending on whether household has garbage grinder</t>
  </si>
  <si>
    <t>Total input, kg P/capita/yr</t>
  </si>
  <si>
    <t>This is the dog waste that is picked up -see Urban Landscape sheet.</t>
  </si>
  <si>
    <t xml:space="preserve">    Solid waste to sewage, with grinder, kg P/capita/yr</t>
  </si>
  <si>
    <t xml:space="preserve">     Solid waste to sewage, without grinder</t>
  </si>
  <si>
    <t>Estimated "by difference" - see Users Manual</t>
  </si>
  <si>
    <t xml:space="preserve">  Export of food waste to landfills, kg P /yr</t>
  </si>
  <si>
    <t xml:space="preserve">  Export of by-products</t>
  </si>
  <si>
    <t xml:space="preserve"> Is household waste landfilled within the watershed?</t>
  </si>
  <si>
    <t>Values for cells B46 to B51 have to be determined by the user - see Users Manual. The values seen here are for the City of Albert Lea</t>
  </si>
  <si>
    <t>If your answer to B54 is "yes", B76 should be 0. Otherwise, use local information to determine how much is used within the watershed vs. exported.</t>
  </si>
  <si>
    <t>What percentage of effluent is recycled to agriculture?</t>
  </si>
  <si>
    <t xml:space="preserve">  Export of sewage effluent to agriculture</t>
  </si>
  <si>
    <t>3. Accumulation within city</t>
  </si>
  <si>
    <t>This can be 0 to 100, based on local information from the wastewater treatment plant.</t>
  </si>
  <si>
    <t>% Compost added to urban landscape, kg P/yr</t>
  </si>
  <si>
    <t>This would be the most common situation</t>
  </si>
  <si>
    <t>This is calculated.</t>
  </si>
  <si>
    <t>Recycled compost from landscape wastes recycled, kg P/yr</t>
  </si>
  <si>
    <t>Deliberate export, kg P/yr</t>
  </si>
  <si>
    <t>Stormwater export, kg P/yr</t>
  </si>
  <si>
    <t>Recycled compost, kg P/yr</t>
  </si>
  <si>
    <t>Accumulation (including recylced compost), kg P/yr</t>
  </si>
  <si>
    <t>% accumulation, compared to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</si>
</sst>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2"/>
      <color indexed="8"/>
      <name val="Calibri"/>
      <family val="2"/>
    </font>
    <font>
      <sz val="12"/>
      <name val="Arial"/>
    </font>
    <font>
      <sz val="12"/>
      <name val="Calibri"/>
      <scheme val="minor"/>
    </font>
    <font>
      <b/>
      <sz val="12"/>
      <name val="Calibri"/>
      <scheme val="minor"/>
    </font>
    <font>
      <sz val="12"/>
      <color rgb="FF000000"/>
      <name val="Calibri"/>
      <family val="2"/>
      <charset val="134"/>
      <scheme val="minor"/>
    </font>
    <font>
      <b/>
      <sz val="12"/>
      <name val="Arial"/>
    </font>
    <font>
      <sz val="12"/>
      <color rgb="FFFF0000"/>
      <name val="Calibri"/>
      <family val="2"/>
      <charset val="134"/>
      <scheme val="minor"/>
    </font>
    <font>
      <sz val="12"/>
      <color rgb="FF000000"/>
      <name val="Cambria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BEF4"/>
        <bgColor indexed="64"/>
      </patternFill>
    </fill>
    <fill>
      <patternFill patternType="solid">
        <fgColor rgb="FFFFCFE8"/>
        <bgColor indexed="64"/>
      </patternFill>
    </fill>
    <fill>
      <patternFill patternType="solid">
        <fgColor rgb="FFFFBFE5"/>
        <bgColor indexed="64"/>
      </patternFill>
    </fill>
    <fill>
      <patternFill patternType="solid">
        <fgColor rgb="FFFFCBFD"/>
        <bgColor indexed="64"/>
      </patternFill>
    </fill>
    <fill>
      <patternFill patternType="solid">
        <fgColor rgb="FFFFC6FB"/>
        <bgColor indexed="64"/>
      </patternFill>
    </fill>
    <fill>
      <patternFill patternType="solid">
        <fgColor rgb="FFFFC3F3"/>
        <bgColor indexed="64"/>
      </patternFill>
    </fill>
    <fill>
      <patternFill patternType="solid">
        <fgColor rgb="FFFFC8F8"/>
        <bgColor indexed="64"/>
      </patternFill>
    </fill>
    <fill>
      <patternFill patternType="solid">
        <fgColor rgb="FFFFCFFB"/>
        <bgColor indexed="64"/>
      </patternFill>
    </fill>
    <fill>
      <patternFill patternType="solid">
        <fgColor rgb="FFFFA6E4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3" fontId="1" fillId="0" borderId="0" xfId="0" applyNumberFormat="1" applyFont="1"/>
    <xf numFmtId="3" fontId="0" fillId="0" borderId="0" xfId="0" applyNumberForma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3" fontId="0" fillId="0" borderId="1" xfId="0" applyNumberFormat="1" applyBorder="1"/>
    <xf numFmtId="0" fontId="4" fillId="0" borderId="0" xfId="0" applyFont="1" applyAlignment="1"/>
    <xf numFmtId="3" fontId="0" fillId="2" borderId="0" xfId="0" applyNumberFormat="1" applyFill="1"/>
    <xf numFmtId="0" fontId="0" fillId="2" borderId="0" xfId="0" applyFill="1"/>
    <xf numFmtId="0" fontId="0" fillId="2" borderId="2" xfId="0" applyFill="1" applyBorder="1" applyAlignment="1">
      <alignment wrapText="1"/>
    </xf>
    <xf numFmtId="3" fontId="0" fillId="2" borderId="0" xfId="0" applyNumberFormat="1" applyFill="1" applyAlignment="1">
      <alignment horizontal="right" vertical="center"/>
    </xf>
    <xf numFmtId="4" fontId="0" fillId="2" borderId="0" xfId="0" applyNumberFormat="1" applyFill="1" applyAlignment="1">
      <alignment horizontal="right" vertical="center"/>
    </xf>
    <xf numFmtId="1" fontId="5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3" fontId="9" fillId="4" borderId="0" xfId="0" applyNumberFormat="1" applyFont="1" applyFill="1"/>
    <xf numFmtId="1" fontId="9" fillId="0" borderId="0" xfId="0" applyNumberFormat="1" applyFont="1"/>
    <xf numFmtId="0" fontId="1" fillId="0" borderId="0" xfId="0" applyFont="1" applyAlignment="1">
      <alignment horizontal="center"/>
    </xf>
    <xf numFmtId="1" fontId="9" fillId="0" borderId="0" xfId="0" applyNumberFormat="1" applyFont="1" applyFill="1"/>
    <xf numFmtId="2" fontId="9" fillId="2" borderId="0" xfId="0" applyNumberFormat="1" applyFont="1" applyFill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3" fontId="10" fillId="0" borderId="0" xfId="0" applyNumberFormat="1" applyFont="1" applyAlignment="1">
      <alignment horizontal="right" vertical="center"/>
    </xf>
    <xf numFmtId="0" fontId="9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5" borderId="0" xfId="0" applyFill="1" applyAlignment="1">
      <alignment horizontal="right" vertical="center"/>
    </xf>
    <xf numFmtId="0" fontId="6" fillId="6" borderId="0" xfId="0" applyFont="1" applyFill="1" applyAlignment="1">
      <alignment horizontal="right" vertical="center"/>
    </xf>
    <xf numFmtId="0" fontId="0" fillId="7" borderId="0" xfId="0" applyFill="1" applyAlignment="1">
      <alignment wrapText="1"/>
    </xf>
    <xf numFmtId="0" fontId="0" fillId="8" borderId="0" xfId="0" applyFill="1"/>
    <xf numFmtId="0" fontId="0" fillId="10" borderId="0" xfId="0" applyFill="1"/>
    <xf numFmtId="0" fontId="0" fillId="11" borderId="0" xfId="0" applyFill="1"/>
    <xf numFmtId="0" fontId="11" fillId="12" borderId="0" xfId="0" applyFont="1" applyFill="1"/>
    <xf numFmtId="2" fontId="0" fillId="9" borderId="0" xfId="0" applyNumberFormat="1" applyFill="1"/>
    <xf numFmtId="2" fontId="0" fillId="0" borderId="0" xfId="0" applyNumberFormat="1" applyFill="1"/>
    <xf numFmtId="0" fontId="0" fillId="0" borderId="0" xfId="0" applyFill="1"/>
    <xf numFmtId="0" fontId="0" fillId="0" borderId="0" xfId="0" applyAlignment="1">
      <alignment vertical="center" wrapText="1"/>
    </xf>
    <xf numFmtId="0" fontId="0" fillId="13" borderId="0" xfId="0" applyFill="1"/>
    <xf numFmtId="3" fontId="12" fillId="0" borderId="0" xfId="0" applyNumberFormat="1" applyFont="1"/>
    <xf numFmtId="3" fontId="0" fillId="0" borderId="0" xfId="0" applyNumberFormat="1" applyFont="1"/>
    <xf numFmtId="3" fontId="1" fillId="0" borderId="0" xfId="0" applyNumberFormat="1" applyFont="1" applyAlignment="1">
      <alignment horizontal="righ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opLeftCell="A15" zoomScale="150" zoomScaleNormal="150" zoomScalePageLayoutView="150" workbookViewId="0">
      <selection activeCell="B17" sqref="B17"/>
    </sheetView>
  </sheetViews>
  <sheetFormatPr baseColWidth="10" defaultRowHeight="15" x14ac:dyDescent="0"/>
  <cols>
    <col min="1" max="1" width="36" style="5" customWidth="1"/>
    <col min="2" max="2" width="18" customWidth="1"/>
    <col min="4" max="4" width="48" customWidth="1"/>
    <col min="5" max="5" width="30" customWidth="1"/>
  </cols>
  <sheetData>
    <row r="1" spans="1:5" ht="18">
      <c r="A1" s="8" t="s">
        <v>0</v>
      </c>
    </row>
    <row r="2" spans="1:5" ht="18">
      <c r="A2" s="8" t="s">
        <v>116</v>
      </c>
      <c r="B2" s="7" t="s">
        <v>117</v>
      </c>
    </row>
    <row r="3" spans="1:5" ht="18">
      <c r="A3" s="8"/>
    </row>
    <row r="4" spans="1:5" ht="60">
      <c r="B4" s="29" t="s">
        <v>114</v>
      </c>
      <c r="C4" s="60" t="s">
        <v>190</v>
      </c>
    </row>
    <row r="5" spans="1:5" ht="18">
      <c r="A5" s="9" t="s">
        <v>7</v>
      </c>
    </row>
    <row r="6" spans="1:5">
      <c r="A6" s="4"/>
    </row>
    <row r="7" spans="1:5">
      <c r="A7" s="3" t="s">
        <v>50</v>
      </c>
      <c r="B7" s="7" t="s">
        <v>89</v>
      </c>
      <c r="C7" s="7"/>
      <c r="D7" s="7" t="s">
        <v>85</v>
      </c>
      <c r="E7" s="7" t="s">
        <v>2</v>
      </c>
    </row>
    <row r="8" spans="1:5">
      <c r="A8" s="4" t="s">
        <v>8</v>
      </c>
    </row>
    <row r="9" spans="1:5" ht="60">
      <c r="A9" s="4" t="s">
        <v>63</v>
      </c>
      <c r="B9" s="27">
        <v>18000</v>
      </c>
      <c r="D9" s="1" t="s">
        <v>189</v>
      </c>
      <c r="E9" t="s">
        <v>90</v>
      </c>
    </row>
    <row r="10" spans="1:5" ht="30">
      <c r="A10" s="4" t="s">
        <v>60</v>
      </c>
      <c r="B10" s="64">
        <v>0.6</v>
      </c>
      <c r="D10" s="1" t="s">
        <v>191</v>
      </c>
      <c r="E10" t="s">
        <v>3</v>
      </c>
    </row>
    <row r="11" spans="1:5" ht="30">
      <c r="A11" s="4" t="s">
        <v>61</v>
      </c>
      <c r="B11" s="61">
        <v>0.24</v>
      </c>
      <c r="D11" s="1" t="s">
        <v>1</v>
      </c>
      <c r="E11" t="s">
        <v>4</v>
      </c>
    </row>
    <row r="12" spans="1:5">
      <c r="A12" s="4" t="s">
        <v>62</v>
      </c>
      <c r="B12" s="61">
        <v>0.61</v>
      </c>
      <c r="D12" s="1" t="s">
        <v>197</v>
      </c>
    </row>
    <row r="13" spans="1:5" ht="45">
      <c r="A13" s="4" t="s">
        <v>170</v>
      </c>
      <c r="B13" s="65">
        <f>0.3/'II. Urban landscape'!B8</f>
        <v>0.13452914798206278</v>
      </c>
      <c r="D13" s="53" t="s">
        <v>176</v>
      </c>
    </row>
    <row r="14" spans="1:5">
      <c r="A14" s="4" t="s">
        <v>193</v>
      </c>
      <c r="B14" s="10">
        <f>B10+B11+B12+B13</f>
        <v>1.5845291479820627</v>
      </c>
      <c r="D14" s="1"/>
    </row>
    <row r="15" spans="1:5">
      <c r="A15" s="4" t="s">
        <v>9</v>
      </c>
      <c r="D15" s="1"/>
    </row>
    <row r="16" spans="1:5">
      <c r="A16" s="4" t="s">
        <v>64</v>
      </c>
      <c r="B16" s="62">
        <f>B10</f>
        <v>0.6</v>
      </c>
      <c r="D16" s="1" t="s">
        <v>10</v>
      </c>
      <c r="E16" t="s">
        <v>3</v>
      </c>
    </row>
    <row r="17" spans="1:5" ht="30">
      <c r="A17" s="4" t="s">
        <v>171</v>
      </c>
      <c r="B17" s="10">
        <f>'II. Urban landscape'!$B$25/'II. Urban landscape'!B8</f>
        <v>6.0538116591928252E-2</v>
      </c>
      <c r="D17" s="53" t="s">
        <v>194</v>
      </c>
    </row>
    <row r="18" spans="1:5">
      <c r="A18" s="4" t="s">
        <v>172</v>
      </c>
      <c r="B18" s="10">
        <f>B11+B17</f>
        <v>0.30053811659192825</v>
      </c>
      <c r="D18" s="1"/>
    </row>
    <row r="19" spans="1:5" ht="30">
      <c r="A19" s="4" t="s">
        <v>65</v>
      </c>
      <c r="B19" s="66">
        <f>B11+B17</f>
        <v>0.30053811659192825</v>
      </c>
      <c r="D19" s="75" t="s">
        <v>192</v>
      </c>
      <c r="E19" t="s">
        <v>5</v>
      </c>
    </row>
    <row r="20" spans="1:5">
      <c r="A20" s="4" t="s">
        <v>66</v>
      </c>
      <c r="B20" s="10">
        <f>B19-B21</f>
        <v>0.25053811659192826</v>
      </c>
      <c r="D20" s="75"/>
    </row>
    <row r="21" spans="1:5" ht="30">
      <c r="A21" s="4" t="s">
        <v>195</v>
      </c>
      <c r="B21" s="69">
        <v>0.05</v>
      </c>
      <c r="D21" s="75"/>
    </row>
    <row r="22" spans="1:5">
      <c r="A22" s="4" t="s">
        <v>196</v>
      </c>
      <c r="B22">
        <v>0</v>
      </c>
      <c r="D22" s="75"/>
    </row>
    <row r="23" spans="1:5">
      <c r="A23" s="4" t="s">
        <v>62</v>
      </c>
      <c r="B23" s="63">
        <v>0.61</v>
      </c>
      <c r="D23" s="75"/>
    </row>
    <row r="24" spans="1:5">
      <c r="A24" s="4" t="s">
        <v>67</v>
      </c>
      <c r="B24">
        <f>B16+B23+B21</f>
        <v>1.26</v>
      </c>
      <c r="D24" s="75"/>
    </row>
    <row r="25" spans="1:5">
      <c r="A25" s="4" t="s">
        <v>11</v>
      </c>
      <c r="B25">
        <f>B16+B23+B22</f>
        <v>1.21</v>
      </c>
      <c r="D25" s="75"/>
    </row>
    <row r="26" spans="1:5">
      <c r="A26"/>
      <c r="D26" s="53"/>
    </row>
    <row r="27" spans="1:5">
      <c r="A27" s="4" t="s">
        <v>70</v>
      </c>
      <c r="B27" s="6">
        <f>B14*B9</f>
        <v>28521.52466367713</v>
      </c>
      <c r="D27" s="1"/>
    </row>
    <row r="28" spans="1:5">
      <c r="A28" s="4" t="s">
        <v>12</v>
      </c>
      <c r="B28" s="28">
        <v>52</v>
      </c>
      <c r="D28" s="1" t="s">
        <v>71</v>
      </c>
      <c r="E28" t="s">
        <v>13</v>
      </c>
    </row>
    <row r="29" spans="1:5">
      <c r="A29" s="4" t="s">
        <v>68</v>
      </c>
      <c r="B29" s="6">
        <f>(B28/100*B9*B24)+((100-B28)/100*B9*B25)</f>
        <v>22248</v>
      </c>
      <c r="D29" s="73" t="s">
        <v>14</v>
      </c>
      <c r="E29" t="s">
        <v>6</v>
      </c>
    </row>
    <row r="30" spans="1:5">
      <c r="A30" s="4" t="s">
        <v>69</v>
      </c>
      <c r="B30" s="6">
        <f>B27-B29</f>
        <v>6273.5246636771299</v>
      </c>
      <c r="D30" s="73"/>
    </row>
    <row r="31" spans="1:5">
      <c r="A31" s="4" t="s">
        <v>79</v>
      </c>
      <c r="B31">
        <f>B27-B29-B30</f>
        <v>0</v>
      </c>
      <c r="D31" s="1" t="s">
        <v>80</v>
      </c>
    </row>
    <row r="32" spans="1:5">
      <c r="A32" s="4"/>
      <c r="D32" s="1"/>
    </row>
    <row r="33" spans="1:5">
      <c r="A33" s="3" t="s">
        <v>167</v>
      </c>
      <c r="D33" s="1"/>
    </row>
    <row r="34" spans="1:5">
      <c r="A34" s="4" t="s">
        <v>15</v>
      </c>
      <c r="B34" s="27">
        <v>0</v>
      </c>
      <c r="D34" s="1" t="s">
        <v>72</v>
      </c>
    </row>
    <row r="35" spans="1:5">
      <c r="A35" s="4" t="s">
        <v>51</v>
      </c>
      <c r="B35" s="6">
        <f>B14*B34</f>
        <v>0</v>
      </c>
      <c r="D35" s="2"/>
    </row>
    <row r="36" spans="1:5">
      <c r="A36" s="4" t="s">
        <v>20</v>
      </c>
      <c r="B36" s="28">
        <v>52</v>
      </c>
      <c r="D36" s="1" t="s">
        <v>25</v>
      </c>
      <c r="E36" t="s">
        <v>3</v>
      </c>
    </row>
    <row r="37" spans="1:5">
      <c r="A37" s="4" t="s">
        <v>19</v>
      </c>
      <c r="B37" s="6">
        <f>B34*B36/100*B24+B34*(100-B36)/100*B25</f>
        <v>0</v>
      </c>
      <c r="D37" s="1" t="s">
        <v>22</v>
      </c>
    </row>
    <row r="38" spans="1:5">
      <c r="A38" s="4" t="s">
        <v>16</v>
      </c>
      <c r="B38" s="28">
        <v>30</v>
      </c>
      <c r="D38" s="1" t="s">
        <v>23</v>
      </c>
      <c r="E38" t="s">
        <v>24</v>
      </c>
    </row>
    <row r="39" spans="1:5" ht="30">
      <c r="A39" s="4" t="s">
        <v>17</v>
      </c>
      <c r="B39" s="6">
        <f>B37*B38/100</f>
        <v>0</v>
      </c>
      <c r="D39" s="1" t="s">
        <v>83</v>
      </c>
    </row>
    <row r="40" spans="1:5">
      <c r="A40" s="4" t="s">
        <v>18</v>
      </c>
      <c r="B40" s="6">
        <f>B37-B39</f>
        <v>0</v>
      </c>
      <c r="D40" s="1" t="s">
        <v>21</v>
      </c>
    </row>
    <row r="41" spans="1:5">
      <c r="A41" s="4" t="s">
        <v>49</v>
      </c>
      <c r="B41" s="6">
        <f>B35-B39-B40</f>
        <v>0</v>
      </c>
      <c r="D41" s="1" t="s">
        <v>21</v>
      </c>
    </row>
    <row r="42" spans="1:5">
      <c r="A42" s="4" t="s">
        <v>77</v>
      </c>
      <c r="B42">
        <f>B35-B39-B40-B41</f>
        <v>0</v>
      </c>
      <c r="D42" s="1" t="s">
        <v>78</v>
      </c>
    </row>
    <row r="43" spans="1:5">
      <c r="A43" s="4"/>
      <c r="D43" s="2"/>
    </row>
    <row r="44" spans="1:5">
      <c r="A44" s="3" t="s">
        <v>119</v>
      </c>
      <c r="B44" s="67"/>
      <c r="D44" s="21"/>
    </row>
    <row r="45" spans="1:5">
      <c r="A45" s="4" t="s">
        <v>120</v>
      </c>
      <c r="B45" s="27">
        <v>1770228</v>
      </c>
      <c r="D45" s="76" t="s">
        <v>201</v>
      </c>
    </row>
    <row r="46" spans="1:5">
      <c r="A46" s="4" t="s">
        <v>121</v>
      </c>
      <c r="B46" s="27">
        <v>3722</v>
      </c>
      <c r="D46" s="76"/>
    </row>
    <row r="47" spans="1:5">
      <c r="A47" s="4" t="s">
        <v>122</v>
      </c>
      <c r="B47" s="27">
        <v>39272</v>
      </c>
      <c r="D47" s="76"/>
    </row>
    <row r="48" spans="1:5">
      <c r="A48" s="4" t="s">
        <v>182</v>
      </c>
      <c r="B48" s="27">
        <v>1617098</v>
      </c>
      <c r="D48" s="76"/>
    </row>
    <row r="49" spans="1:5">
      <c r="A49" s="4" t="s">
        <v>123</v>
      </c>
      <c r="B49" s="70">
        <v>21867</v>
      </c>
      <c r="D49" s="76"/>
    </row>
    <row r="50" spans="1:5">
      <c r="A50" s="4" t="s">
        <v>124</v>
      </c>
      <c r="B50" s="28">
        <v>494</v>
      </c>
      <c r="D50" s="76"/>
    </row>
    <row r="51" spans="1:5">
      <c r="A51" s="4"/>
      <c r="D51" s="21"/>
    </row>
    <row r="52" spans="1:5" ht="30">
      <c r="A52" s="3" t="s">
        <v>118</v>
      </c>
      <c r="D52" s="1"/>
    </row>
    <row r="53" spans="1:5">
      <c r="A53" s="4" t="s">
        <v>30</v>
      </c>
      <c r="D53" s="1"/>
    </row>
    <row r="54" spans="1:5">
      <c r="A54" s="4" t="s">
        <v>43</v>
      </c>
      <c r="B54" s="28" t="s">
        <v>58</v>
      </c>
      <c r="D54" s="1" t="s">
        <v>44</v>
      </c>
    </row>
    <row r="55" spans="1:5">
      <c r="A55" s="4" t="s">
        <v>126</v>
      </c>
      <c r="B55" s="6">
        <f>IF(B54="no",B29,B29+B39)+B49</f>
        <v>44115</v>
      </c>
      <c r="D55" s="1" t="s">
        <v>45</v>
      </c>
    </row>
    <row r="56" spans="1:5" ht="30">
      <c r="A56" s="4" t="s">
        <v>109</v>
      </c>
      <c r="D56" s="11" t="s">
        <v>110</v>
      </c>
    </row>
    <row r="57" spans="1:5" ht="30">
      <c r="A57" s="4" t="s">
        <v>93</v>
      </c>
      <c r="B57" s="28">
        <v>36</v>
      </c>
      <c r="D57" s="1" t="s">
        <v>41</v>
      </c>
    </row>
    <row r="58" spans="1:5" ht="45">
      <c r="A58" s="4" t="s">
        <v>31</v>
      </c>
      <c r="D58" s="1" t="s">
        <v>42</v>
      </c>
    </row>
    <row r="59" spans="1:5" ht="30">
      <c r="A59" s="4" t="s">
        <v>26</v>
      </c>
      <c r="B59" s="28"/>
      <c r="D59" s="1" t="s">
        <v>32</v>
      </c>
    </row>
    <row r="60" spans="1:5">
      <c r="A60" s="4" t="s">
        <v>27</v>
      </c>
      <c r="B60" s="28"/>
      <c r="D60" s="1" t="s">
        <v>33</v>
      </c>
      <c r="E60" t="s">
        <v>35</v>
      </c>
    </row>
    <row r="61" spans="1:5">
      <c r="A61" s="4" t="s">
        <v>28</v>
      </c>
      <c r="B61" s="28"/>
      <c r="D61" s="1" t="s">
        <v>33</v>
      </c>
      <c r="E61" t="s">
        <v>36</v>
      </c>
    </row>
    <row r="62" spans="1:5">
      <c r="A62" s="4" t="s">
        <v>29</v>
      </c>
      <c r="B62" s="28"/>
      <c r="D62" s="1" t="s">
        <v>34</v>
      </c>
      <c r="E62" t="s">
        <v>37</v>
      </c>
    </row>
    <row r="63" spans="1:5">
      <c r="A63" s="4"/>
      <c r="D63" s="1"/>
    </row>
    <row r="64" spans="1:5">
      <c r="A64" s="4" t="s">
        <v>38</v>
      </c>
      <c r="B64" s="6">
        <f>IF(B57&gt;0,B57/100*B55,IF(B59="X",0,IF(B60="X",0.5*B55,IF(B61="X",0.5*B55,0.95*B55))))</f>
        <v>15881.4</v>
      </c>
      <c r="D64" s="1" t="s">
        <v>39</v>
      </c>
    </row>
    <row r="65" spans="1:4">
      <c r="A65" s="4" t="s">
        <v>40</v>
      </c>
      <c r="B65" s="6">
        <f>B55-B64</f>
        <v>28233.599999999999</v>
      </c>
      <c r="D65" s="1"/>
    </row>
    <row r="66" spans="1:4" ht="30">
      <c r="A66" s="4" t="s">
        <v>203</v>
      </c>
      <c r="B66">
        <v>0</v>
      </c>
      <c r="D66" s="1" t="s">
        <v>206</v>
      </c>
    </row>
    <row r="67" spans="1:4" ht="18">
      <c r="A67" s="26" t="s">
        <v>59</v>
      </c>
      <c r="D67" s="1"/>
    </row>
    <row r="68" spans="1:4">
      <c r="A68" s="57" t="s">
        <v>180</v>
      </c>
      <c r="B68" s="6">
        <f>B27+B35+B45+B46</f>
        <v>1802471.5246636772</v>
      </c>
      <c r="D68" s="56"/>
    </row>
    <row r="69" spans="1:4" ht="18">
      <c r="A69" s="26"/>
      <c r="D69" s="56"/>
    </row>
    <row r="70" spans="1:4">
      <c r="A70" s="3" t="s">
        <v>54</v>
      </c>
      <c r="D70" s="1"/>
    </row>
    <row r="71" spans="1:4">
      <c r="A71" s="4" t="s">
        <v>46</v>
      </c>
      <c r="B71" s="12">
        <f>B65*(100-B66)/100</f>
        <v>28233.599999999999</v>
      </c>
      <c r="D71" s="1"/>
    </row>
    <row r="72" spans="1:4">
      <c r="A72" s="4"/>
      <c r="B72" s="12"/>
      <c r="D72" s="20"/>
    </row>
    <row r="73" spans="1:4">
      <c r="A73" s="3" t="s">
        <v>55</v>
      </c>
      <c r="B73" s="12">
        <f>B47+B48</f>
        <v>1656370</v>
      </c>
      <c r="D73" s="2"/>
    </row>
    <row r="74" spans="1:4">
      <c r="A74" s="3" t="s">
        <v>181</v>
      </c>
      <c r="B74" s="7">
        <f>B47</f>
        <v>39272</v>
      </c>
      <c r="D74" s="56"/>
    </row>
    <row r="75" spans="1:4" ht="30">
      <c r="A75" s="4" t="s">
        <v>111</v>
      </c>
      <c r="B75" s="28">
        <v>100</v>
      </c>
      <c r="D75" s="1" t="s">
        <v>53</v>
      </c>
    </row>
    <row r="76" spans="1:4" ht="45">
      <c r="A76" s="4" t="s">
        <v>52</v>
      </c>
      <c r="B76" s="28">
        <v>0</v>
      </c>
      <c r="D76" s="2" t="s">
        <v>202</v>
      </c>
    </row>
    <row r="77" spans="1:4">
      <c r="A77" s="4" t="s">
        <v>47</v>
      </c>
      <c r="B77" s="71">
        <f>B64*B75/100+B39*B76/100</f>
        <v>15881.4</v>
      </c>
      <c r="D77" s="1" t="s">
        <v>21</v>
      </c>
    </row>
    <row r="78" spans="1:4">
      <c r="A78" s="4"/>
      <c r="B78" s="5"/>
      <c r="D78" s="56"/>
    </row>
    <row r="79" spans="1:4" ht="30">
      <c r="A79" s="4" t="s">
        <v>200</v>
      </c>
      <c r="B79" s="28" t="s">
        <v>58</v>
      </c>
      <c r="D79" s="1" t="s">
        <v>48</v>
      </c>
    </row>
    <row r="80" spans="1:4" ht="45">
      <c r="A80" s="4" t="s">
        <v>198</v>
      </c>
      <c r="B80" s="6">
        <f>IF(B79="no",B30+B41,0)</f>
        <v>6273.5246636771299</v>
      </c>
      <c r="D80" s="1" t="s">
        <v>56</v>
      </c>
    </row>
    <row r="81" spans="1:4">
      <c r="A81" s="4" t="s">
        <v>199</v>
      </c>
      <c r="B81" s="6">
        <f>B48</f>
        <v>1617098</v>
      </c>
      <c r="D81" s="56"/>
    </row>
    <row r="82" spans="1:4">
      <c r="A82" s="4" t="s">
        <v>204</v>
      </c>
      <c r="B82" s="6">
        <f>B65-B71</f>
        <v>0</v>
      </c>
      <c r="D82" s="56"/>
    </row>
    <row r="83" spans="1:4">
      <c r="A83" s="4" t="s">
        <v>73</v>
      </c>
      <c r="B83" s="72">
        <f>SUM(B80:B82)</f>
        <v>1623371.5246636772</v>
      </c>
      <c r="D83" s="1"/>
    </row>
    <row r="84" spans="1:4">
      <c r="A84" s="4"/>
      <c r="B84" s="7"/>
      <c r="D84" s="2"/>
    </row>
    <row r="85" spans="1:4">
      <c r="A85" s="3" t="s">
        <v>205</v>
      </c>
      <c r="D85" s="1"/>
    </row>
    <row r="86" spans="1:4">
      <c r="A86" s="4" t="s">
        <v>57</v>
      </c>
      <c r="B86" s="7">
        <f>IF(B79="yes",B41+B30,0)</f>
        <v>0</v>
      </c>
      <c r="D86" s="1"/>
    </row>
    <row r="87" spans="1:4">
      <c r="A87" s="4" t="s">
        <v>81</v>
      </c>
      <c r="B87">
        <f>B40</f>
        <v>0</v>
      </c>
      <c r="D87" s="1"/>
    </row>
    <row r="88" spans="1:4">
      <c r="A88" s="4" t="s">
        <v>82</v>
      </c>
      <c r="B88" s="7">
        <f>B86+B87</f>
        <v>0</v>
      </c>
      <c r="D88" s="1"/>
    </row>
    <row r="89" spans="1:4">
      <c r="A89" s="4"/>
      <c r="D89" s="20"/>
    </row>
    <row r="90" spans="1:4" ht="30">
      <c r="A90" s="3" t="s">
        <v>112</v>
      </c>
      <c r="D90" s="1"/>
    </row>
    <row r="91" spans="1:4">
      <c r="A91" s="4" t="s">
        <v>91</v>
      </c>
      <c r="B91" s="12">
        <f>(100-B75)/100*B64</f>
        <v>0</v>
      </c>
      <c r="D91" s="1"/>
    </row>
    <row r="92" spans="1:4">
      <c r="A92" s="4" t="s">
        <v>92</v>
      </c>
      <c r="B92">
        <f>(100-B76)/100*B39</f>
        <v>0</v>
      </c>
      <c r="D92" s="1"/>
    </row>
    <row r="93" spans="1:4" ht="16" thickBot="1">
      <c r="A93" s="4"/>
      <c r="D93" s="20"/>
    </row>
    <row r="94" spans="1:4" ht="16" thickBot="1">
      <c r="A94" s="22" t="s">
        <v>74</v>
      </c>
      <c r="B94" s="23"/>
      <c r="D94" s="1"/>
    </row>
    <row r="95" spans="1:4" ht="16" thickBot="1">
      <c r="A95" s="24" t="s">
        <v>75</v>
      </c>
      <c r="B95" s="25">
        <f>B27+B35+B49</f>
        <v>50388.524663677134</v>
      </c>
      <c r="D95" s="74" t="s">
        <v>115</v>
      </c>
    </row>
    <row r="96" spans="1:4" ht="31" thickBot="1">
      <c r="A96" s="24" t="s">
        <v>76</v>
      </c>
      <c r="B96" s="25">
        <f>B71+B83+B88+B91+B92</f>
        <v>1651605.1246636773</v>
      </c>
      <c r="D96" s="74"/>
    </row>
    <row r="97" spans="1:4" ht="16" thickBot="1">
      <c r="A97" s="24" t="s">
        <v>84</v>
      </c>
      <c r="B97" s="23">
        <f>B95-B96</f>
        <v>-1601216.6</v>
      </c>
      <c r="D97" s="1"/>
    </row>
    <row r="98" spans="1:4">
      <c r="D98" s="1"/>
    </row>
    <row r="99" spans="1:4">
      <c r="D99" s="1"/>
    </row>
    <row r="100" spans="1:4">
      <c r="D100" s="1"/>
    </row>
    <row r="101" spans="1:4">
      <c r="D101" s="1"/>
    </row>
    <row r="102" spans="1:4">
      <c r="D102" s="1"/>
    </row>
    <row r="103" spans="1:4">
      <c r="D103" s="1"/>
    </row>
    <row r="104" spans="1:4">
      <c r="D104" s="1"/>
    </row>
    <row r="105" spans="1:4">
      <c r="D105" s="1"/>
    </row>
    <row r="106" spans="1:4">
      <c r="D106" s="1"/>
    </row>
    <row r="107" spans="1:4">
      <c r="D107" s="1"/>
    </row>
    <row r="108" spans="1:4">
      <c r="D108" s="1"/>
    </row>
    <row r="109" spans="1:4">
      <c r="D109" s="1"/>
    </row>
    <row r="110" spans="1:4">
      <c r="D110" s="1"/>
    </row>
    <row r="111" spans="1:4">
      <c r="D111" s="1"/>
    </row>
    <row r="112" spans="1:4">
      <c r="D112" s="1"/>
    </row>
  </sheetData>
  <mergeCells count="4">
    <mergeCell ref="D29:D30"/>
    <mergeCell ref="D95:D96"/>
    <mergeCell ref="D19:D25"/>
    <mergeCell ref="D45:D5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54" zoomScale="150" zoomScaleNormal="150" zoomScalePageLayoutView="150" workbookViewId="0">
      <selection activeCell="A70" sqref="A70"/>
    </sheetView>
  </sheetViews>
  <sheetFormatPr baseColWidth="10" defaultRowHeight="15" x14ac:dyDescent="0"/>
  <cols>
    <col min="1" max="1" width="36" customWidth="1"/>
    <col min="2" max="2" width="18" customWidth="1"/>
    <col min="3" max="3" width="48" customWidth="1"/>
    <col min="4" max="4" width="24" customWidth="1"/>
  </cols>
  <sheetData>
    <row r="1" spans="1:4" ht="18">
      <c r="A1" s="8" t="s">
        <v>0</v>
      </c>
    </row>
    <row r="2" spans="1:4" ht="31">
      <c r="A2" s="8"/>
      <c r="B2" s="55" t="s">
        <v>114</v>
      </c>
    </row>
    <row r="3" spans="1:4" ht="18">
      <c r="A3" s="8"/>
    </row>
    <row r="4" spans="1:4">
      <c r="A4" s="7"/>
    </row>
    <row r="5" spans="1:4" ht="18">
      <c r="A5" s="9" t="s">
        <v>94</v>
      </c>
      <c r="B5" s="38" t="s">
        <v>138</v>
      </c>
      <c r="C5" s="38" t="s">
        <v>85</v>
      </c>
      <c r="D5" s="38" t="s">
        <v>86</v>
      </c>
    </row>
    <row r="6" spans="1:4" ht="18">
      <c r="A6" s="9" t="s">
        <v>139</v>
      </c>
      <c r="B6" s="38"/>
      <c r="C6" s="48"/>
      <c r="D6" s="48"/>
    </row>
    <row r="7" spans="1:4" ht="30">
      <c r="A7" s="41" t="s">
        <v>100</v>
      </c>
      <c r="B7" s="30">
        <v>17401</v>
      </c>
      <c r="C7" s="49" t="s">
        <v>137</v>
      </c>
      <c r="D7" s="49" t="s">
        <v>103</v>
      </c>
    </row>
    <row r="8" spans="1:4">
      <c r="A8" s="41" t="s">
        <v>101</v>
      </c>
      <c r="B8" s="31">
        <v>2.23</v>
      </c>
      <c r="C8" s="49"/>
      <c r="D8" s="49" t="s">
        <v>103</v>
      </c>
    </row>
    <row r="9" spans="1:4">
      <c r="A9" s="41" t="s">
        <v>102</v>
      </c>
      <c r="B9" s="13">
        <f>B7/B8</f>
        <v>7803.1390134529147</v>
      </c>
      <c r="C9" s="49"/>
      <c r="D9" s="49" t="s">
        <v>103</v>
      </c>
    </row>
    <row r="10" spans="1:4" ht="30">
      <c r="A10" s="41" t="s">
        <v>95</v>
      </c>
      <c r="B10" s="32">
        <v>7536</v>
      </c>
      <c r="C10" s="49" t="s">
        <v>183</v>
      </c>
      <c r="D10" s="49"/>
    </row>
    <row r="11" spans="1:4">
      <c r="A11" s="41" t="s">
        <v>96</v>
      </c>
      <c r="B11" s="14">
        <f>B10*0.47</f>
        <v>3541.9199999999996</v>
      </c>
      <c r="C11" s="49"/>
      <c r="D11" s="49"/>
    </row>
    <row r="12" spans="1:4">
      <c r="A12" s="41" t="s">
        <v>148</v>
      </c>
      <c r="B12" s="14">
        <v>344</v>
      </c>
      <c r="C12" s="49"/>
      <c r="D12" s="49"/>
    </row>
    <row r="13" spans="1:4">
      <c r="A13" s="41" t="s">
        <v>96</v>
      </c>
      <c r="B13" s="14">
        <f>B12*0.47</f>
        <v>161.67999999999998</v>
      </c>
      <c r="C13" s="49"/>
      <c r="D13" s="49"/>
    </row>
    <row r="14" spans="1:4">
      <c r="A14" s="42" t="s">
        <v>88</v>
      </c>
      <c r="B14" s="36">
        <v>12575</v>
      </c>
      <c r="C14" s="42" t="s">
        <v>113</v>
      </c>
      <c r="D14" s="42"/>
    </row>
    <row r="15" spans="1:4">
      <c r="A15" s="42" t="s">
        <v>150</v>
      </c>
      <c r="B15" s="39">
        <v>5420</v>
      </c>
      <c r="C15" s="42"/>
      <c r="D15" s="42"/>
    </row>
    <row r="16" spans="1:4" ht="30">
      <c r="A16" s="42" t="s">
        <v>151</v>
      </c>
      <c r="B16" s="40">
        <f>0.36</f>
        <v>0.36</v>
      </c>
      <c r="C16" s="42" t="s">
        <v>152</v>
      </c>
      <c r="D16" s="42" t="s">
        <v>3</v>
      </c>
    </row>
    <row r="17" spans="1:4">
      <c r="A17" s="42"/>
      <c r="B17" s="37"/>
      <c r="C17" s="42"/>
      <c r="D17" s="42"/>
    </row>
    <row r="18" spans="1:4">
      <c r="A18" s="43" t="s">
        <v>141</v>
      </c>
      <c r="B18" s="14"/>
      <c r="C18" s="49"/>
      <c r="D18" s="49"/>
    </row>
    <row r="19" spans="1:4">
      <c r="A19" s="41" t="s">
        <v>177</v>
      </c>
      <c r="B19" s="15">
        <v>0.19800000000000001</v>
      </c>
      <c r="C19" s="49" t="s">
        <v>165</v>
      </c>
      <c r="D19" s="49" t="s">
        <v>87</v>
      </c>
    </row>
    <row r="20" spans="1:4">
      <c r="A20" s="41" t="s">
        <v>178</v>
      </c>
      <c r="B20" s="15">
        <v>0.31</v>
      </c>
      <c r="C20" s="49" t="s">
        <v>166</v>
      </c>
      <c r="D20" s="49" t="s">
        <v>87</v>
      </c>
    </row>
    <row r="21" spans="1:4">
      <c r="A21" s="41" t="s">
        <v>179</v>
      </c>
      <c r="B21" s="16">
        <f>(B19+B20)*B11</f>
        <v>1799.2953599999998</v>
      </c>
      <c r="C21" s="49"/>
      <c r="D21" s="49"/>
    </row>
    <row r="22" spans="1:4">
      <c r="A22" s="41" t="s">
        <v>132</v>
      </c>
      <c r="B22" s="58">
        <v>0.3</v>
      </c>
      <c r="C22" s="49" t="s">
        <v>184</v>
      </c>
      <c r="D22" s="49" t="s">
        <v>3</v>
      </c>
    </row>
    <row r="23" spans="1:4">
      <c r="A23" s="41" t="s">
        <v>133</v>
      </c>
      <c r="B23" s="58">
        <v>60</v>
      </c>
      <c r="C23" s="49" t="s">
        <v>185</v>
      </c>
      <c r="D23" s="49" t="s">
        <v>135</v>
      </c>
    </row>
    <row r="24" spans="1:4" ht="30">
      <c r="A24" s="41" t="s">
        <v>134</v>
      </c>
      <c r="B24" s="15">
        <f>B22*0.25+B22*0.75*(100-B23)/100</f>
        <v>0.16499999999999998</v>
      </c>
      <c r="C24" s="49" t="s">
        <v>186</v>
      </c>
      <c r="D24" s="49" t="s">
        <v>136</v>
      </c>
    </row>
    <row r="25" spans="1:4">
      <c r="A25" s="41" t="s">
        <v>168</v>
      </c>
      <c r="B25" s="15">
        <f>B22-B24</f>
        <v>0.13500000000000001</v>
      </c>
      <c r="C25" s="49" t="s">
        <v>169</v>
      </c>
      <c r="D25" s="49"/>
    </row>
    <row r="26" spans="1:4">
      <c r="A26" s="41" t="s">
        <v>97</v>
      </c>
      <c r="B26" s="17">
        <f>B9*B24</f>
        <v>1287.5179372197308</v>
      </c>
      <c r="C26" s="49"/>
      <c r="D26" s="49"/>
    </row>
    <row r="27" spans="1:4">
      <c r="A27" s="41"/>
      <c r="B27" s="15"/>
      <c r="C27" s="49"/>
      <c r="D27" s="49"/>
    </row>
    <row r="28" spans="1:4" ht="25" customHeight="1">
      <c r="A28" s="41" t="s">
        <v>98</v>
      </c>
      <c r="B28" s="33">
        <f>1*90</f>
        <v>90</v>
      </c>
      <c r="C28" s="49" t="s">
        <v>105</v>
      </c>
      <c r="D28" s="49" t="s">
        <v>104</v>
      </c>
    </row>
    <row r="29" spans="1:4" ht="30">
      <c r="A29" s="41" t="s">
        <v>99</v>
      </c>
      <c r="B29" s="33">
        <v>0.4</v>
      </c>
      <c r="C29" s="49" t="s">
        <v>188</v>
      </c>
      <c r="D29" s="49"/>
    </row>
    <row r="30" spans="1:4">
      <c r="A30" s="41" t="s">
        <v>142</v>
      </c>
      <c r="B30" s="17">
        <f>B28*10^6*3.78*B29/10^6</f>
        <v>136.08000000000001</v>
      </c>
      <c r="C30" s="49"/>
      <c r="D30" s="49"/>
    </row>
    <row r="31" spans="1:4">
      <c r="A31" s="41"/>
      <c r="B31" s="17"/>
      <c r="C31" s="49"/>
      <c r="D31" s="49"/>
    </row>
    <row r="32" spans="1:4" ht="30">
      <c r="A32" s="41" t="s">
        <v>143</v>
      </c>
      <c r="B32" s="17">
        <v>0</v>
      </c>
      <c r="C32" s="49" t="s">
        <v>144</v>
      </c>
      <c r="D32" s="49"/>
    </row>
    <row r="33" spans="1:4" ht="30">
      <c r="A33" s="41" t="s">
        <v>145</v>
      </c>
      <c r="B33" s="17"/>
      <c r="C33" s="49" t="s">
        <v>147</v>
      </c>
      <c r="D33" s="49"/>
    </row>
    <row r="34" spans="1:4">
      <c r="A34" s="41" t="s">
        <v>146</v>
      </c>
      <c r="B34" s="17">
        <f>IF(B32="0",B32*B16,B33*B16)</f>
        <v>0</v>
      </c>
      <c r="C34" s="49"/>
      <c r="D34" s="49"/>
    </row>
    <row r="35" spans="1:4">
      <c r="A35" s="41"/>
      <c r="B35" s="17"/>
      <c r="C35" s="49"/>
      <c r="D35" s="49"/>
    </row>
    <row r="36" spans="1:4" ht="45">
      <c r="A36" s="41" t="s">
        <v>153</v>
      </c>
      <c r="B36" s="15">
        <v>0</v>
      </c>
      <c r="C36" s="50" t="s">
        <v>154</v>
      </c>
      <c r="D36" s="49"/>
    </row>
    <row r="37" spans="1:4">
      <c r="A37" s="41" t="s">
        <v>149</v>
      </c>
      <c r="B37" s="15">
        <f>B36/1000*0.44*43560*0.47/2.2</f>
        <v>0</v>
      </c>
      <c r="C37" s="49"/>
      <c r="D37" s="49"/>
    </row>
    <row r="38" spans="1:4">
      <c r="A38" s="41" t="s">
        <v>155</v>
      </c>
      <c r="B38" s="15">
        <v>0</v>
      </c>
      <c r="C38" s="49"/>
      <c r="D38" s="49"/>
    </row>
    <row r="39" spans="1:4">
      <c r="A39" s="41" t="s">
        <v>156</v>
      </c>
      <c r="B39" s="15">
        <f>B37*B38/2.47</f>
        <v>0</v>
      </c>
      <c r="C39" s="49"/>
      <c r="D39" s="49"/>
    </row>
    <row r="40" spans="1:4">
      <c r="A40" s="41"/>
      <c r="B40" s="15"/>
      <c r="C40" s="49"/>
      <c r="D40" s="49"/>
    </row>
    <row r="41" spans="1:4">
      <c r="A41" s="41" t="s">
        <v>106</v>
      </c>
      <c r="B41" s="16">
        <f>B21+B26+B30+B34+B39</f>
        <v>3222.8932972197308</v>
      </c>
      <c r="C41" s="49"/>
      <c r="D41" s="49"/>
    </row>
    <row r="42" spans="1:4">
      <c r="A42" s="41"/>
      <c r="B42" s="15"/>
      <c r="C42" s="49"/>
      <c r="D42" s="49"/>
    </row>
    <row r="43" spans="1:4">
      <c r="A43" s="43" t="s">
        <v>140</v>
      </c>
      <c r="B43" s="15"/>
      <c r="C43" s="49"/>
      <c r="D43" s="49"/>
    </row>
    <row r="44" spans="1:4" ht="45">
      <c r="A44" s="44" t="s">
        <v>108</v>
      </c>
      <c r="B44" s="34">
        <v>0.5</v>
      </c>
      <c r="C44" s="46" t="s">
        <v>187</v>
      </c>
      <c r="D44" s="49" t="s">
        <v>127</v>
      </c>
    </row>
    <row r="45" spans="1:4">
      <c r="A45" s="44" t="s">
        <v>130</v>
      </c>
      <c r="B45" s="34" t="s">
        <v>125</v>
      </c>
      <c r="C45" s="46" t="s">
        <v>131</v>
      </c>
      <c r="D45" s="49"/>
    </row>
    <row r="46" spans="1:4">
      <c r="A46" s="44" t="s">
        <v>129</v>
      </c>
      <c r="B46" s="34"/>
      <c r="C46" s="46" t="s">
        <v>128</v>
      </c>
      <c r="D46" s="49"/>
    </row>
    <row r="47" spans="1:4">
      <c r="A47" s="44"/>
      <c r="B47" s="35"/>
      <c r="C47" s="46"/>
      <c r="D47" s="49"/>
    </row>
    <row r="48" spans="1:4">
      <c r="A48" s="45" t="s">
        <v>107</v>
      </c>
      <c r="B48" s="19">
        <f>IF(B45="yes",B44*B11,B46*B11)</f>
        <v>1770.9599999999998</v>
      </c>
      <c r="C48" s="51"/>
      <c r="D48" s="49"/>
    </row>
    <row r="49" spans="1:4">
      <c r="A49" s="45"/>
      <c r="B49" s="18"/>
      <c r="C49" s="52"/>
      <c r="D49" s="49"/>
    </row>
    <row r="50" spans="1:4" ht="45">
      <c r="A50" s="46" t="s">
        <v>157</v>
      </c>
      <c r="B50" s="59">
        <v>0.1</v>
      </c>
      <c r="C50" s="52" t="s">
        <v>161</v>
      </c>
      <c r="D50" s="49" t="s">
        <v>158</v>
      </c>
    </row>
    <row r="51" spans="1:4" ht="30">
      <c r="A51" s="46" t="s">
        <v>159</v>
      </c>
      <c r="B51" s="18">
        <f>B50*B15</f>
        <v>542</v>
      </c>
      <c r="C51" s="52" t="s">
        <v>160</v>
      </c>
      <c r="D51" s="49"/>
    </row>
    <row r="52" spans="1:4" ht="45">
      <c r="A52" s="46" t="s">
        <v>162</v>
      </c>
      <c r="B52" s="18" t="s">
        <v>125</v>
      </c>
      <c r="C52" s="52" t="s">
        <v>164</v>
      </c>
      <c r="D52" s="49"/>
    </row>
    <row r="53" spans="1:4" ht="30">
      <c r="A53" s="46" t="s">
        <v>207</v>
      </c>
      <c r="B53" s="18">
        <v>0</v>
      </c>
      <c r="C53" s="52" t="s">
        <v>208</v>
      </c>
      <c r="D53" s="49"/>
    </row>
    <row r="54" spans="1:4" ht="30">
      <c r="A54" s="46" t="s">
        <v>210</v>
      </c>
      <c r="B54" s="18">
        <f>B53/100*B50*B15</f>
        <v>0</v>
      </c>
      <c r="C54" s="52"/>
      <c r="D54" s="68"/>
    </row>
    <row r="55" spans="1:4">
      <c r="A55" s="46" t="s">
        <v>163</v>
      </c>
      <c r="B55" s="47">
        <f>(100-B53)/100*B50*B15</f>
        <v>542</v>
      </c>
      <c r="C55" s="52" t="s">
        <v>209</v>
      </c>
      <c r="D55" s="49"/>
    </row>
    <row r="56" spans="1:4" ht="30">
      <c r="A56" s="46" t="s">
        <v>175</v>
      </c>
      <c r="B56" s="54">
        <f>B48+B55</f>
        <v>2312.96</v>
      </c>
      <c r="C56" s="52"/>
      <c r="D56" s="49"/>
    </row>
    <row r="57" spans="1:4">
      <c r="A57" s="46"/>
      <c r="B57" s="47"/>
      <c r="C57" s="52"/>
      <c r="D57" s="49"/>
    </row>
    <row r="58" spans="1:4">
      <c r="A58" s="46" t="s">
        <v>173</v>
      </c>
      <c r="B58" s="47"/>
      <c r="C58" s="52"/>
      <c r="D58" s="49"/>
    </row>
    <row r="59" spans="1:4">
      <c r="A59" s="46" t="s">
        <v>174</v>
      </c>
      <c r="B59" s="54">
        <f>B41</f>
        <v>3222.8932972197308</v>
      </c>
      <c r="C59" s="52"/>
      <c r="D59" s="49"/>
    </row>
    <row r="60" spans="1:4">
      <c r="A60" s="46" t="s">
        <v>211</v>
      </c>
      <c r="B60" s="54">
        <f>B55</f>
        <v>542</v>
      </c>
      <c r="C60" s="52"/>
      <c r="D60" s="49"/>
    </row>
    <row r="61" spans="1:4">
      <c r="A61" s="45" t="s">
        <v>212</v>
      </c>
      <c r="B61" s="16">
        <f>B48</f>
        <v>1770.9599999999998</v>
      </c>
      <c r="C61" s="49"/>
      <c r="D61" s="49"/>
    </row>
    <row r="62" spans="1:4">
      <c r="A62" s="45" t="s">
        <v>213</v>
      </c>
      <c r="B62" s="16">
        <f>B54</f>
        <v>0</v>
      </c>
      <c r="C62" s="49"/>
      <c r="D62" s="49"/>
    </row>
    <row r="63" spans="1:4">
      <c r="A63" s="45" t="s">
        <v>214</v>
      </c>
      <c r="B63" s="16">
        <f>B59-(B60+B61)</f>
        <v>909.93329721973078</v>
      </c>
      <c r="C63" s="68"/>
      <c r="D63" s="68"/>
    </row>
    <row r="64" spans="1:4">
      <c r="A64" s="45" t="s">
        <v>215</v>
      </c>
      <c r="B64" s="16">
        <f>B63*100/B59</f>
        <v>28.233429198686039</v>
      </c>
      <c r="C64" s="68"/>
      <c r="D64" s="68"/>
    </row>
    <row r="65" spans="1:4">
      <c r="A65" s="45"/>
      <c r="B65" s="16"/>
      <c r="C65" s="68"/>
      <c r="D65" s="6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I. Engineered system</vt:lpstr>
      <vt:lpstr>II. Urban landscape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Baker</dc:creator>
  <cp:lastModifiedBy>Lawrence Baker</cp:lastModifiedBy>
  <dcterms:created xsi:type="dcterms:W3CDTF">2014-07-28T13:54:07Z</dcterms:created>
  <dcterms:modified xsi:type="dcterms:W3CDTF">2014-10-25T01:52:17Z</dcterms:modified>
</cp:coreProperties>
</file>